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812" windowHeight="7860"/>
  </bookViews>
  <sheets>
    <sheet name="汇总" sheetId="2" r:id="rId1"/>
    <sheet name="固化清单" sheetId="1" r:id="rId2"/>
  </sheets>
  <calcPr calcId="124519"/>
</workbook>
</file>

<file path=xl/calcChain.xml><?xml version="1.0" encoding="utf-8"?>
<calcChain xmlns="http://schemas.openxmlformats.org/spreadsheetml/2006/main">
  <c r="I14" i="1"/>
  <c r="I11" s="1"/>
  <c r="I12" s="1"/>
  <c r="D5" i="2" s="1"/>
  <c r="K5" i="1"/>
  <c r="K6"/>
  <c r="K7"/>
  <c r="K8"/>
  <c r="K9"/>
  <c r="K10"/>
  <c r="K4"/>
  <c r="G14"/>
  <c r="G13"/>
  <c r="G12"/>
  <c r="G11"/>
  <c r="G10"/>
  <c r="F10"/>
  <c r="G9"/>
  <c r="F9"/>
  <c r="G8"/>
  <c r="F8"/>
  <c r="G7"/>
  <c r="F7"/>
  <c r="G6"/>
  <c r="F6"/>
  <c r="G5"/>
  <c r="F5"/>
  <c r="G4"/>
  <c r="F4"/>
  <c r="C7" i="2"/>
  <c r="C6"/>
  <c r="C5"/>
  <c r="C4"/>
  <c r="D4" l="1"/>
  <c r="I20" i="1"/>
  <c r="I9" s="1"/>
  <c r="H9" s="1"/>
  <c r="I18"/>
  <c r="I7" s="1"/>
  <c r="H7" s="1"/>
  <c r="I22"/>
  <c r="I21"/>
  <c r="I10" s="1"/>
  <c r="H10" s="1"/>
  <c r="I19"/>
  <c r="I8" s="1"/>
  <c r="H8" s="1"/>
  <c r="I17"/>
  <c r="I6" s="1"/>
  <c r="H6" s="1"/>
  <c r="I25"/>
  <c r="I16"/>
  <c r="I5" s="1"/>
  <c r="H5" s="1"/>
  <c r="I24"/>
  <c r="I15"/>
  <c r="I4" s="1"/>
  <c r="H4" s="1"/>
  <c r="I23"/>
  <c r="I13"/>
  <c r="D6" i="2" s="1"/>
</calcChain>
</file>

<file path=xl/sharedStrings.xml><?xml version="1.0" encoding="utf-8"?>
<sst xmlns="http://schemas.openxmlformats.org/spreadsheetml/2006/main" count="49" uniqueCount="42">
  <si>
    <t>南昌南管理中心东乡养护所2022年房建及配套设施维修完善工程（FJ2标）工程量清单汇总表</t>
  </si>
  <si>
    <t>序号</t>
  </si>
  <si>
    <t>项目名称</t>
  </si>
  <si>
    <t>限价（元）</t>
  </si>
  <si>
    <t>报价（元）</t>
  </si>
  <si>
    <t>土建费用</t>
  </si>
  <si>
    <t>安全生产费</t>
  </si>
  <si>
    <t>不可预见费</t>
  </si>
  <si>
    <t>合      计</t>
  </si>
  <si>
    <t>南昌南管理中心东乡养护所2022年房建及配套设施维修完善工程（FJ2标）工程量清单</t>
  </si>
  <si>
    <t>单位</t>
  </si>
  <si>
    <t>工程内容</t>
  </si>
  <si>
    <t>数量</t>
  </si>
  <si>
    <t>控制单价（元）</t>
  </si>
  <si>
    <t>控制合价（元）</t>
  </si>
  <si>
    <t>响应单价（元）</t>
  </si>
  <si>
    <t>响应合价（元）</t>
  </si>
  <si>
    <t>备注</t>
  </si>
  <si>
    <t>宿舍卫生间渗水翻修</t>
  </si>
  <si>
    <t>㎡</t>
  </si>
  <si>
    <t>1.铲除旧地砖、墙砖；2.找平；3.卫生间地面、墙面涂刷防水涂料两遍，做保护层；4待防水干燥后放水做48小时闭水试验；5.墙面做≥150cm的防水卷边；6.墙面拉毛处理，铺贴地面防滑砖、墙面砖、勾缝（含更换蹲便器、花洒、龙头、地漏、洗脸盆、软管、角阀）</t>
  </si>
  <si>
    <t>纱窗门更换</t>
  </si>
  <si>
    <t>樘</t>
  </si>
  <si>
    <t>1.拆除；2.安装</t>
  </si>
  <si>
    <t>内墙粉刷</t>
  </si>
  <si>
    <t>1.清理基层；2.刮腻子2-3遍；3.涂刷乳胶漆2-3遍（含措施费等）</t>
  </si>
  <si>
    <t>房门维修</t>
  </si>
  <si>
    <t>1.拆除门框或门锁；2.安装门框和门锁</t>
  </si>
  <si>
    <t>应急照明灯维修</t>
  </si>
  <si>
    <t>盏</t>
  </si>
  <si>
    <t>1.拆除；2.更换、安装</t>
  </si>
  <si>
    <t>大门推拉门改造电子闸门</t>
  </si>
  <si>
    <t>扇</t>
  </si>
  <si>
    <t>1.地基清扫；2.拆除旧推拉门；3、地基修整；4.安装电子闸门；5.调试后验收</t>
  </si>
  <si>
    <t>院区道路白改黑</t>
  </si>
  <si>
    <t>m³</t>
  </si>
  <si>
    <t>1.修复基层；2.拉毛原路面；3.混合料拌合、运输；4.摊铺整形；6.碾压；7.养护</t>
  </si>
  <si>
    <t>土建工程小计   人民币（元）</t>
  </si>
  <si>
    <t>元</t>
  </si>
  <si>
    <t>合计   人民币（元）</t>
  </si>
  <si>
    <r>
      <t>标段：F</t>
    </r>
    <r>
      <rPr>
        <sz val="10"/>
        <rFont val="宋体"/>
        <family val="3"/>
        <charset val="134"/>
      </rPr>
      <t>J2</t>
    </r>
    <phoneticPr fontId="19" type="noConversion"/>
  </si>
  <si>
    <r>
      <t>标段：F</t>
    </r>
    <r>
      <rPr>
        <sz val="10"/>
        <color theme="1"/>
        <rFont val="宋体"/>
        <family val="3"/>
        <charset val="134"/>
      </rPr>
      <t>J2</t>
    </r>
    <phoneticPr fontId="18" type="noConversion"/>
  </si>
</sst>
</file>

<file path=xl/styles.xml><?xml version="1.0" encoding="utf-8"?>
<styleSheet xmlns="http://schemas.openxmlformats.org/spreadsheetml/2006/main">
  <numFmts count="5">
    <numFmt numFmtId="178" formatCode="0_ "/>
    <numFmt numFmtId="179" formatCode="0.00_ ;[Red]\-0.00\ "/>
    <numFmt numFmtId="180" formatCode="0.00;[Red]0.00"/>
    <numFmt numFmtId="181" formatCode="0.00_ "/>
    <numFmt numFmtId="182" formatCode="0.0%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12"/>
      <name val="仿宋"/>
      <charset val="134"/>
    </font>
    <font>
      <sz val="10"/>
      <name val="宋体"/>
      <charset val="134"/>
    </font>
    <font>
      <sz val="16"/>
      <name val="黑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0" fontId="17" fillId="0" borderId="0"/>
    <xf numFmtId="0" fontId="16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178" fontId="0" fillId="0" borderId="0" xfId="0" applyNumberFormat="1" applyFill="1" applyAlignment="1">
      <alignment vertical="center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/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0" fillId="0" borderId="8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181" fontId="0" fillId="0" borderId="1" xfId="0" applyNumberFormat="1" applyFill="1" applyBorder="1" applyAlignment="1" applyProtection="1">
      <alignment horizontal="center" vertical="center"/>
    </xf>
    <xf numFmtId="0" fontId="0" fillId="0" borderId="10" xfId="0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horizontal="center" vertical="center"/>
    </xf>
    <xf numFmtId="0" fontId="0" fillId="0" borderId="0" xfId="0" applyFill="1" applyAlignment="1">
      <alignment horizontal="center" vertical="center"/>
    </xf>
    <xf numFmtId="181" fontId="0" fillId="0" borderId="0" xfId="0" applyNumberFormat="1" applyFill="1" applyAlignment="1">
      <alignment horizontal="center" vertical="center"/>
    </xf>
    <xf numFmtId="181" fontId="0" fillId="0" borderId="0" xfId="0" applyNumberFormat="1" applyFill="1" applyAlignment="1">
      <alignment vertical="center"/>
    </xf>
    <xf numFmtId="181" fontId="0" fillId="0" borderId="12" xfId="0" applyNumberForma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center" vertical="center" wrapText="1"/>
    </xf>
    <xf numFmtId="0" fontId="20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181" fontId="0" fillId="0" borderId="9" xfId="0" applyNumberForma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left" vertical="center" wrapText="1"/>
    </xf>
    <xf numFmtId="178" fontId="1" fillId="2" borderId="0" xfId="0" applyNumberFormat="1" applyFont="1" applyFill="1" applyBorder="1" applyAlignment="1" applyProtection="1">
      <alignment horizontal="center" vertical="center" wrapText="1"/>
    </xf>
    <xf numFmtId="0" fontId="21" fillId="2" borderId="0" xfId="0" applyFont="1" applyFill="1" applyAlignment="1" applyProtection="1">
      <alignment horizontal="left" vertical="center" wrapText="1"/>
    </xf>
    <xf numFmtId="0" fontId="2" fillId="2" borderId="0" xfId="0" applyFont="1" applyFill="1" applyAlignment="1" applyProtection="1">
      <alignment horizontal="left" vertical="center" wrapText="1"/>
    </xf>
    <xf numFmtId="178" fontId="2" fillId="2" borderId="0" xfId="0" applyNumberFormat="1" applyFont="1" applyFill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horizontal="center" vertical="center" shrinkToFit="1"/>
    </xf>
    <xf numFmtId="0" fontId="3" fillId="2" borderId="1" xfId="0" applyFont="1" applyFill="1" applyBorder="1" applyAlignment="1" applyProtection="1">
      <alignment horizontal="center" vertical="center" wrapText="1"/>
    </xf>
    <xf numFmtId="179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178" fontId="4" fillId="2" borderId="1" xfId="0" applyNumberFormat="1" applyFont="1" applyFill="1" applyBorder="1" applyAlignment="1" applyProtection="1">
      <alignment horizontal="center" vertical="center" wrapText="1"/>
    </xf>
    <xf numFmtId="178" fontId="3" fillId="2" borderId="1" xfId="0" applyNumberFormat="1" applyFont="1" applyFill="1" applyBorder="1" applyAlignment="1" applyProtection="1">
      <alignment horizontal="center" vertical="center" wrapText="1"/>
    </xf>
    <xf numFmtId="0" fontId="5" fillId="0" borderId="1" xfId="2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0" fontId="5" fillId="0" borderId="1" xfId="2" applyNumberFormat="1" applyFont="1" applyFill="1" applyBorder="1" applyAlignment="1" applyProtection="1">
      <alignment horizontal="center" vertical="center" wrapText="1"/>
    </xf>
    <xf numFmtId="180" fontId="5" fillId="0" borderId="1" xfId="1" applyNumberFormat="1" applyFont="1" applyFill="1" applyBorder="1" applyAlignment="1" applyProtection="1">
      <alignment horizontal="center" vertical="center"/>
    </xf>
    <xf numFmtId="181" fontId="5" fillId="0" borderId="1" xfId="2" applyNumberFormat="1" applyFont="1" applyFill="1" applyBorder="1" applyAlignment="1" applyProtection="1">
      <alignment horizontal="center" vertical="center" wrapText="1"/>
    </xf>
    <xf numFmtId="181" fontId="7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180" fontId="6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180" fontId="5" fillId="0" borderId="1" xfId="2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180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180" fontId="7" fillId="0" borderId="1" xfId="0" applyNumberFormat="1" applyFont="1" applyFill="1" applyBorder="1" applyAlignment="1" applyProtection="1">
      <alignment horizontal="center" vertical="center" wrapText="1"/>
    </xf>
    <xf numFmtId="178" fontId="7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vertical="center"/>
    </xf>
    <xf numFmtId="182" fontId="12" fillId="0" borderId="1" xfId="0" applyNumberFormat="1" applyFont="1" applyFill="1" applyBorder="1" applyAlignment="1" applyProtection="1">
      <alignment horizontal="center" vertical="center" wrapText="1"/>
    </xf>
    <xf numFmtId="9" fontId="1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</cellXfs>
  <cellStyles count="3">
    <cellStyle name="常规" xfId="0" builtinId="0"/>
    <cellStyle name="常规 2" xfId="2"/>
    <cellStyle name="常规_昌泰支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"/>
  <sheetViews>
    <sheetView tabSelected="1" workbookViewId="0">
      <selection activeCell="D7" sqref="D7"/>
    </sheetView>
  </sheetViews>
  <sheetFormatPr defaultColWidth="9" defaultRowHeight="14.4"/>
  <cols>
    <col min="1" max="1" width="13" style="1" customWidth="1"/>
    <col min="2" max="2" width="40.77734375" style="1" customWidth="1"/>
    <col min="3" max="4" width="31.77734375" style="1" customWidth="1"/>
    <col min="5" max="5" width="9" style="1"/>
    <col min="6" max="6" width="10.33203125" style="1"/>
    <col min="7" max="16384" width="9" style="1"/>
  </cols>
  <sheetData>
    <row r="1" spans="1:4" s="3" customFormat="1" ht="75" customHeight="1">
      <c r="A1" s="16" t="s">
        <v>0</v>
      </c>
      <c r="B1" s="16"/>
      <c r="C1" s="16"/>
      <c r="D1" s="16"/>
    </row>
    <row r="2" spans="1:4" s="4" customFormat="1" ht="30" customHeight="1">
      <c r="A2" s="17" t="s">
        <v>40</v>
      </c>
      <c r="B2" s="18"/>
      <c r="C2" s="18"/>
      <c r="D2" s="18"/>
    </row>
    <row r="3" spans="1:4" ht="39" customHeight="1">
      <c r="A3" s="5" t="s">
        <v>1</v>
      </c>
      <c r="B3" s="6" t="s">
        <v>2</v>
      </c>
      <c r="C3" s="6" t="s">
        <v>3</v>
      </c>
      <c r="D3" s="19" t="s">
        <v>4</v>
      </c>
    </row>
    <row r="4" spans="1:4" ht="40.049999999999997" customHeight="1">
      <c r="A4" s="7">
        <v>1</v>
      </c>
      <c r="B4" s="8" t="s">
        <v>5</v>
      </c>
      <c r="C4" s="9">
        <f>固化清单!G11</f>
        <v>200851.20000000001</v>
      </c>
      <c r="D4" s="20">
        <f>固化清单!I11</f>
        <v>0</v>
      </c>
    </row>
    <row r="5" spans="1:4" ht="40.049999999999997" customHeight="1">
      <c r="A5" s="7">
        <v>2</v>
      </c>
      <c r="B5" s="8" t="s">
        <v>6</v>
      </c>
      <c r="C5" s="9">
        <f>固化清单!G12</f>
        <v>3012.77</v>
      </c>
      <c r="D5" s="20">
        <f>固化清单!I12</f>
        <v>0</v>
      </c>
    </row>
    <row r="6" spans="1:4" ht="40.049999999999997" customHeight="1">
      <c r="A6" s="7">
        <v>3</v>
      </c>
      <c r="B6" s="8" t="s">
        <v>7</v>
      </c>
      <c r="C6" s="9">
        <f>固化清单!G13</f>
        <v>6025.54</v>
      </c>
      <c r="D6" s="20">
        <f>固化清单!I13</f>
        <v>0</v>
      </c>
    </row>
    <row r="7" spans="1:4" ht="40.049999999999997" customHeight="1">
      <c r="A7" s="10">
        <v>4</v>
      </c>
      <c r="B7" s="11" t="s">
        <v>8</v>
      </c>
      <c r="C7" s="11">
        <f>SUM(C4:C6)</f>
        <v>209889.51</v>
      </c>
      <c r="D7" s="15"/>
    </row>
  </sheetData>
  <sheetProtection password="E51C" sheet="1" objects="1" scenarios="1"/>
  <mergeCells count="2">
    <mergeCell ref="A1:D1"/>
    <mergeCell ref="A2:D2"/>
  </mergeCells>
  <phoneticPr fontId="19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5"/>
  <sheetViews>
    <sheetView topLeftCell="A7" workbookViewId="0">
      <selection activeCell="I11" sqref="I11:I13"/>
    </sheetView>
  </sheetViews>
  <sheetFormatPr defaultColWidth="9" defaultRowHeight="14.4"/>
  <cols>
    <col min="1" max="1" width="6.33203125" style="1" customWidth="1"/>
    <col min="2" max="2" width="26.6640625" style="1" customWidth="1"/>
    <col min="3" max="3" width="9" style="1"/>
    <col min="4" max="4" width="32.6640625" style="1" customWidth="1"/>
    <col min="5" max="5" width="9" style="1"/>
    <col min="6" max="6" width="9.77734375" style="1" customWidth="1"/>
    <col min="7" max="7" width="13.33203125" style="2" customWidth="1"/>
    <col min="8" max="8" width="9.77734375" style="12" customWidth="1"/>
    <col min="9" max="9" width="12.44140625" style="12" customWidth="1"/>
    <col min="10" max="10" width="9" style="12"/>
    <col min="11" max="11" width="10.5546875" style="1" hidden="1" customWidth="1"/>
    <col min="12" max="16384" width="9" style="1"/>
  </cols>
  <sheetData>
    <row r="1" spans="1:11" ht="40.049999999999997" customHeight="1">
      <c r="A1" s="21" t="s">
        <v>9</v>
      </c>
      <c r="B1" s="21"/>
      <c r="C1" s="21"/>
      <c r="D1" s="22"/>
      <c r="E1" s="21"/>
      <c r="F1" s="21"/>
      <c r="G1" s="23"/>
      <c r="H1" s="21"/>
      <c r="I1" s="21"/>
      <c r="J1" s="23"/>
    </row>
    <row r="2" spans="1:11" ht="19.95" customHeight="1">
      <c r="A2" s="24" t="s">
        <v>41</v>
      </c>
      <c r="B2" s="25"/>
      <c r="C2" s="25"/>
      <c r="D2" s="25"/>
      <c r="E2" s="25"/>
      <c r="F2" s="25"/>
      <c r="G2" s="26"/>
      <c r="H2" s="25"/>
      <c r="I2" s="25"/>
      <c r="J2" s="25"/>
    </row>
    <row r="3" spans="1:11" ht="33" customHeight="1">
      <c r="A3" s="27" t="s">
        <v>1</v>
      </c>
      <c r="B3" s="28" t="s">
        <v>2</v>
      </c>
      <c r="C3" s="28" t="s">
        <v>10</v>
      </c>
      <c r="D3" s="29" t="s">
        <v>11</v>
      </c>
      <c r="E3" s="30" t="s">
        <v>12</v>
      </c>
      <c r="F3" s="31" t="s">
        <v>13</v>
      </c>
      <c r="G3" s="32" t="s">
        <v>14</v>
      </c>
      <c r="H3" s="31" t="s">
        <v>15</v>
      </c>
      <c r="I3" s="32" t="s">
        <v>16</v>
      </c>
      <c r="J3" s="33" t="s">
        <v>17</v>
      </c>
    </row>
    <row r="4" spans="1:11" ht="96">
      <c r="A4" s="34">
        <v>1</v>
      </c>
      <c r="B4" s="35" t="s">
        <v>18</v>
      </c>
      <c r="C4" s="35" t="s">
        <v>19</v>
      </c>
      <c r="D4" s="36" t="s">
        <v>20</v>
      </c>
      <c r="E4" s="37">
        <v>18.8</v>
      </c>
      <c r="F4" s="38">
        <f>1350-(1350*1%)</f>
        <v>1336.5</v>
      </c>
      <c r="G4" s="39">
        <f>ROUND(F4*E4,2)</f>
        <v>25126.2</v>
      </c>
      <c r="H4" s="40">
        <f>I4/E4</f>
        <v>0</v>
      </c>
      <c r="I4" s="40">
        <f>I15*K4/G15</f>
        <v>0</v>
      </c>
      <c r="J4" s="41"/>
      <c r="K4" s="14">
        <f>E4*F4</f>
        <v>25126.2</v>
      </c>
    </row>
    <row r="5" spans="1:11" ht="31.95" customHeight="1">
      <c r="A5" s="34">
        <v>2</v>
      </c>
      <c r="B5" s="35" t="s">
        <v>21</v>
      </c>
      <c r="C5" s="35" t="s">
        <v>22</v>
      </c>
      <c r="D5" s="42" t="s">
        <v>23</v>
      </c>
      <c r="E5" s="43">
        <v>12</v>
      </c>
      <c r="F5" s="44">
        <f>400-(400*1%)</f>
        <v>396</v>
      </c>
      <c r="G5" s="39">
        <f t="shared" ref="G5:G10" si="0">ROUND(F5*E5,2)</f>
        <v>4752</v>
      </c>
      <c r="H5" s="40">
        <f t="shared" ref="H5:H10" si="1">I5/E5</f>
        <v>0</v>
      </c>
      <c r="I5" s="40">
        <f t="shared" ref="I5:I10" si="2">I16*K5/G16</f>
        <v>0</v>
      </c>
      <c r="J5" s="41"/>
      <c r="K5" s="14">
        <f t="shared" ref="K5:K10" si="3">E5*F5</f>
        <v>4752</v>
      </c>
    </row>
    <row r="6" spans="1:11" ht="31.95" customHeight="1">
      <c r="A6" s="34">
        <v>3</v>
      </c>
      <c r="B6" s="35" t="s">
        <v>24</v>
      </c>
      <c r="C6" s="35" t="s">
        <v>19</v>
      </c>
      <c r="D6" s="45" t="s">
        <v>25</v>
      </c>
      <c r="E6" s="37">
        <v>2400</v>
      </c>
      <c r="F6" s="46">
        <f>27-(27*1%)</f>
        <v>26.73</v>
      </c>
      <c r="G6" s="39">
        <f t="shared" si="0"/>
        <v>64152</v>
      </c>
      <c r="H6" s="40">
        <f t="shared" si="1"/>
        <v>0</v>
      </c>
      <c r="I6" s="40">
        <f t="shared" si="2"/>
        <v>0</v>
      </c>
      <c r="J6" s="41"/>
      <c r="K6" s="14">
        <f t="shared" si="3"/>
        <v>64152</v>
      </c>
    </row>
    <row r="7" spans="1:11" ht="31.95" customHeight="1">
      <c r="A7" s="34">
        <v>4</v>
      </c>
      <c r="B7" s="35" t="s">
        <v>26</v>
      </c>
      <c r="C7" s="35" t="s">
        <v>22</v>
      </c>
      <c r="D7" s="42" t="s">
        <v>27</v>
      </c>
      <c r="E7" s="47">
        <v>12</v>
      </c>
      <c r="F7" s="48">
        <f>200-(200*1%)</f>
        <v>198</v>
      </c>
      <c r="G7" s="39">
        <f t="shared" si="0"/>
        <v>2376</v>
      </c>
      <c r="H7" s="40">
        <f t="shared" si="1"/>
        <v>0</v>
      </c>
      <c r="I7" s="40">
        <f t="shared" si="2"/>
        <v>0</v>
      </c>
      <c r="J7" s="41"/>
      <c r="K7" s="14">
        <f t="shared" si="3"/>
        <v>2376</v>
      </c>
    </row>
    <row r="8" spans="1:11" ht="31.95" customHeight="1">
      <c r="A8" s="34">
        <v>5</v>
      </c>
      <c r="B8" s="35" t="s">
        <v>28</v>
      </c>
      <c r="C8" s="35" t="s">
        <v>29</v>
      </c>
      <c r="D8" s="42" t="s">
        <v>30</v>
      </c>
      <c r="E8" s="47">
        <v>25</v>
      </c>
      <c r="F8" s="48">
        <f>180-(180*1%)</f>
        <v>178.2</v>
      </c>
      <c r="G8" s="39">
        <f t="shared" si="0"/>
        <v>4455</v>
      </c>
      <c r="H8" s="40">
        <f t="shared" si="1"/>
        <v>0</v>
      </c>
      <c r="I8" s="40">
        <f t="shared" si="2"/>
        <v>0</v>
      </c>
      <c r="J8" s="41"/>
      <c r="K8" s="14">
        <f t="shared" si="3"/>
        <v>4455</v>
      </c>
    </row>
    <row r="9" spans="1:11" ht="31.95" customHeight="1">
      <c r="A9" s="34">
        <v>6</v>
      </c>
      <c r="B9" s="35" t="s">
        <v>31</v>
      </c>
      <c r="C9" s="35" t="s">
        <v>32</v>
      </c>
      <c r="D9" s="42" t="s">
        <v>33</v>
      </c>
      <c r="E9" s="47">
        <v>1</v>
      </c>
      <c r="F9" s="48">
        <f>36000-(36000*1%)</f>
        <v>35640</v>
      </c>
      <c r="G9" s="39">
        <f t="shared" si="0"/>
        <v>35640</v>
      </c>
      <c r="H9" s="40">
        <f t="shared" si="1"/>
        <v>0</v>
      </c>
      <c r="I9" s="40">
        <f t="shared" si="2"/>
        <v>0</v>
      </c>
      <c r="J9" s="41"/>
      <c r="K9" s="14">
        <f t="shared" si="3"/>
        <v>35640</v>
      </c>
    </row>
    <row r="10" spans="1:11" ht="31.95" customHeight="1">
      <c r="A10" s="34">
        <v>7</v>
      </c>
      <c r="B10" s="35" t="s">
        <v>34</v>
      </c>
      <c r="C10" s="35" t="s">
        <v>35</v>
      </c>
      <c r="D10" s="42" t="s">
        <v>36</v>
      </c>
      <c r="E10" s="47">
        <v>65</v>
      </c>
      <c r="F10" s="48">
        <f>1000-(1000*1%)</f>
        <v>990</v>
      </c>
      <c r="G10" s="39">
        <f t="shared" si="0"/>
        <v>64350</v>
      </c>
      <c r="H10" s="40">
        <f t="shared" si="1"/>
        <v>0</v>
      </c>
      <c r="I10" s="40">
        <f t="shared" si="2"/>
        <v>0</v>
      </c>
      <c r="J10" s="41"/>
      <c r="K10" s="14">
        <f t="shared" si="3"/>
        <v>64350</v>
      </c>
    </row>
    <row r="11" spans="1:11">
      <c r="A11" s="34">
        <v>8</v>
      </c>
      <c r="B11" s="49" t="s">
        <v>37</v>
      </c>
      <c r="C11" s="50"/>
      <c r="D11" s="51"/>
      <c r="E11" s="52"/>
      <c r="F11" s="53"/>
      <c r="G11" s="54">
        <f>SUM(G4:G10)</f>
        <v>200851.20000000001</v>
      </c>
      <c r="H11" s="40"/>
      <c r="I11" s="40">
        <f>I14/1.045</f>
        <v>0</v>
      </c>
      <c r="J11" s="55"/>
    </row>
    <row r="12" spans="1:11">
      <c r="A12" s="34">
        <v>9</v>
      </c>
      <c r="B12" s="56" t="s">
        <v>6</v>
      </c>
      <c r="C12" s="57" t="s">
        <v>38</v>
      </c>
      <c r="D12" s="58"/>
      <c r="E12" s="58"/>
      <c r="F12" s="58"/>
      <c r="G12" s="40">
        <f>ROUND((SUM(G4:G10))*1.5%,2)</f>
        <v>3012.77</v>
      </c>
      <c r="H12" s="40"/>
      <c r="I12" s="40">
        <f>I11*0.015</f>
        <v>0</v>
      </c>
      <c r="J12" s="59">
        <v>1.4999999999999999E-2</v>
      </c>
    </row>
    <row r="13" spans="1:11">
      <c r="A13" s="34">
        <v>10</v>
      </c>
      <c r="B13" s="56" t="s">
        <v>7</v>
      </c>
      <c r="C13" s="57" t="s">
        <v>38</v>
      </c>
      <c r="D13" s="58"/>
      <c r="E13" s="58"/>
      <c r="F13" s="58"/>
      <c r="G13" s="40">
        <f>ROUND((SUM(G4:G10))*3%,2)</f>
        <v>6025.54</v>
      </c>
      <c r="H13" s="40"/>
      <c r="I13" s="40">
        <f>I14-I11-I12</f>
        <v>0</v>
      </c>
      <c r="J13" s="60">
        <v>0.03</v>
      </c>
    </row>
    <row r="14" spans="1:11">
      <c r="A14" s="34">
        <v>11</v>
      </c>
      <c r="B14" s="61" t="s">
        <v>39</v>
      </c>
      <c r="C14" s="61"/>
      <c r="D14" s="61"/>
      <c r="E14" s="58"/>
      <c r="F14" s="58"/>
      <c r="G14" s="40">
        <f>G11+G12+G13</f>
        <v>209889.51</v>
      </c>
      <c r="H14" s="40"/>
      <c r="I14" s="40">
        <f>汇总!D7</f>
        <v>0</v>
      </c>
      <c r="J14" s="8"/>
    </row>
    <row r="15" spans="1:11" hidden="1">
      <c r="G15" s="2">
        <v>200851</v>
      </c>
      <c r="I15" s="13">
        <f>I11</f>
        <v>0</v>
      </c>
    </row>
    <row r="16" spans="1:11" hidden="1">
      <c r="G16" s="2">
        <v>200851</v>
      </c>
      <c r="I16" s="13">
        <f>I11</f>
        <v>0</v>
      </c>
    </row>
    <row r="17" spans="7:9" hidden="1">
      <c r="G17" s="2">
        <v>200851</v>
      </c>
      <c r="I17" s="13">
        <f>I11</f>
        <v>0</v>
      </c>
    </row>
    <row r="18" spans="7:9" hidden="1">
      <c r="G18" s="2">
        <v>200851</v>
      </c>
      <c r="I18" s="13">
        <f>I11</f>
        <v>0</v>
      </c>
    </row>
    <row r="19" spans="7:9" hidden="1">
      <c r="G19" s="2">
        <v>200851</v>
      </c>
      <c r="I19" s="13">
        <f>I11</f>
        <v>0</v>
      </c>
    </row>
    <row r="20" spans="7:9" hidden="1">
      <c r="G20" s="2">
        <v>200851</v>
      </c>
      <c r="I20" s="13">
        <f>I11</f>
        <v>0</v>
      </c>
    </row>
    <row r="21" spans="7:9" hidden="1">
      <c r="G21" s="2">
        <v>200851</v>
      </c>
      <c r="I21" s="13">
        <f>I11</f>
        <v>0</v>
      </c>
    </row>
    <row r="22" spans="7:9" hidden="1">
      <c r="G22" s="2">
        <v>200851</v>
      </c>
      <c r="I22" s="13">
        <f>I11</f>
        <v>0</v>
      </c>
    </row>
    <row r="23" spans="7:9" hidden="1">
      <c r="G23" s="2">
        <v>200851</v>
      </c>
      <c r="I23" s="13">
        <f>I11</f>
        <v>0</v>
      </c>
    </row>
    <row r="24" spans="7:9" hidden="1">
      <c r="G24" s="2">
        <v>200851</v>
      </c>
      <c r="I24" s="13">
        <f>I11</f>
        <v>0</v>
      </c>
    </row>
    <row r="25" spans="7:9" hidden="1">
      <c r="G25" s="2">
        <v>200851</v>
      </c>
      <c r="I25" s="13">
        <f>I11</f>
        <v>0</v>
      </c>
    </row>
  </sheetData>
  <sheetProtection password="E51C" sheet="1" objects="1" scenarios="1"/>
  <mergeCells count="5">
    <mergeCell ref="A1:J1"/>
    <mergeCell ref="A2:J2"/>
    <mergeCell ref="B11:D11"/>
    <mergeCell ref="B14:D14"/>
    <mergeCell ref="J4:J10"/>
  </mergeCells>
  <phoneticPr fontId="18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固化清单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acer</cp:lastModifiedBy>
  <dcterms:created xsi:type="dcterms:W3CDTF">2022-09-29T03:34:05Z</dcterms:created>
  <dcterms:modified xsi:type="dcterms:W3CDTF">2022-09-29T14:20:25Z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5960D8D3E3AB478A93877158553AFDFF</vt:lpwstr>
  </property>
  <property fmtid="{D5CDD505-2E9C-101B-9397-08002B2CF9AE}" pid="3" name="KSOProductBuildVer">
    <vt:lpwstr>2052-11.1.0.12358</vt:lpwstr>
  </property>
</Properties>
</file>